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735" windowHeight="8385" firstSheet="2" activeTab="5"/>
  </bookViews>
  <sheets>
    <sheet name="IJSS&#10;" sheetId="4" r:id="rId1"/>
    <sheet name="IRPP Soulier" sheetId="1" r:id="rId2"/>
    <sheet name="Saisie arrêt" sheetId="2" r:id="rId3"/>
    <sheet name="registre du personnel" sheetId="3" r:id="rId4"/>
    <sheet name="reprise des congés payés" sheetId="5" r:id="rId5"/>
    <sheet name="réduction fillon de janvier" sheetId="6" r:id="rId6"/>
  </sheets>
  <calcPr calcId="124519"/>
</workbook>
</file>

<file path=xl/calcChain.xml><?xml version="1.0" encoding="utf-8"?>
<calcChain xmlns="http://schemas.openxmlformats.org/spreadsheetml/2006/main">
  <c r="B5" i="6"/>
  <c r="B4"/>
  <c r="B3"/>
  <c r="B2"/>
  <c r="B10" i="5"/>
  <c r="B9"/>
  <c r="B8"/>
  <c r="B7"/>
  <c r="B6"/>
  <c r="B5"/>
  <c r="B4"/>
  <c r="B3"/>
  <c r="B2"/>
  <c r="B2" i="4"/>
  <c r="B3"/>
  <c r="E5"/>
  <c r="B1"/>
  <c r="B17" i="1"/>
  <c r="D16"/>
  <c r="D13"/>
  <c r="D14"/>
  <c r="D15"/>
  <c r="D12"/>
  <c r="C13"/>
  <c r="C12"/>
  <c r="B18" i="2"/>
  <c r="B19"/>
  <c r="B17"/>
  <c r="B16"/>
  <c r="F12"/>
  <c r="D10"/>
  <c r="D9"/>
  <c r="B10" s="1"/>
  <c r="D8"/>
  <c r="D7"/>
  <c r="D6"/>
  <c r="B7" s="1"/>
  <c r="D5"/>
  <c r="B9"/>
  <c r="B6"/>
  <c r="F6" s="1"/>
  <c r="D4"/>
  <c r="F4" s="1"/>
  <c r="B3" i="1"/>
  <c r="B4" s="1"/>
  <c r="F7" i="2" l="1"/>
  <c r="F10"/>
  <c r="F9"/>
  <c r="B5"/>
  <c r="F5" s="1"/>
  <c r="F11" s="1"/>
  <c r="B8"/>
  <c r="F8" s="1"/>
  <c r="B5" i="1"/>
</calcChain>
</file>

<file path=xl/sharedStrings.xml><?xml version="1.0" encoding="utf-8"?>
<sst xmlns="http://schemas.openxmlformats.org/spreadsheetml/2006/main" count="131" uniqueCount="92">
  <si>
    <t>Salaire net</t>
  </si>
  <si>
    <t>Interressement</t>
  </si>
  <si>
    <t>Total</t>
  </si>
  <si>
    <t>Abattement 10%</t>
  </si>
  <si>
    <t>Revenu imposable</t>
  </si>
  <si>
    <t>Fraction du revenu imposable</t>
  </si>
  <si>
    <t>Taux d'imposition</t>
  </si>
  <si>
    <t>(pour une part)</t>
  </si>
  <si>
    <t>Base imposable</t>
  </si>
  <si>
    <t>Salaire mensuel net en €</t>
  </si>
  <si>
    <t>Jusqu'à</t>
  </si>
  <si>
    <t>nombre de personnes à charge</t>
  </si>
  <si>
    <t>Quotité saisissable</t>
  </si>
  <si>
    <t>Fraction mensuelle saisissable en €</t>
  </si>
  <si>
    <t xml:space="preserve"> 1/20</t>
  </si>
  <si>
    <t>De</t>
  </si>
  <si>
    <t xml:space="preserve">à </t>
  </si>
  <si>
    <t xml:space="preserve"> 1/10</t>
  </si>
  <si>
    <t xml:space="preserve"> 1/5</t>
  </si>
  <si>
    <t xml:space="preserve"> 1/4</t>
  </si>
  <si>
    <t xml:space="preserve"> 1/3</t>
  </si>
  <si>
    <t xml:space="preserve"> 2/3</t>
  </si>
  <si>
    <t>Totalité</t>
  </si>
  <si>
    <t>En cas de pension alimentaire:</t>
  </si>
  <si>
    <t>(Le salarié conserve juste 524,16€)</t>
  </si>
  <si>
    <t xml:space="preserve">Dette </t>
  </si>
  <si>
    <t>saisie</t>
  </si>
  <si>
    <t>nb mois</t>
  </si>
  <si>
    <t>2 mois à</t>
  </si>
  <si>
    <t>Le 3e mois</t>
  </si>
  <si>
    <t>n'excédant pas  9700 €</t>
  </si>
  <si>
    <t>entre 26 792 € et 71 826 €</t>
  </si>
  <si>
    <r>
      <t>entre 71 827 € et</t>
    </r>
    <r>
      <rPr>
        <sz val="12"/>
        <color rgb="FF333333"/>
        <rFont val="Times New Roman"/>
        <family val="1"/>
      </rPr>
      <t> </t>
    </r>
    <r>
      <rPr>
        <b/>
        <sz val="12"/>
        <color rgb="FF333333"/>
        <rFont val="Times New Roman"/>
        <family val="1"/>
      </rPr>
      <t>152 108€</t>
    </r>
  </si>
  <si>
    <t>supérieure à  152 108 €</t>
  </si>
  <si>
    <t>entre 9 701 € et 26 791 €</t>
  </si>
  <si>
    <t>impôt dû</t>
  </si>
  <si>
    <t xml:space="preserve">impôt Brut </t>
  </si>
  <si>
    <t>Nom, Prénom salarié</t>
  </si>
  <si>
    <t>N° SS</t>
  </si>
  <si>
    <t>Nationnalité</t>
  </si>
  <si>
    <t>Date naissance</t>
  </si>
  <si>
    <t>Sexe</t>
  </si>
  <si>
    <t>Type emploi</t>
  </si>
  <si>
    <t>Type contrat</t>
  </si>
  <si>
    <t>Date entrée</t>
  </si>
  <si>
    <t>Date sortie</t>
  </si>
  <si>
    <t>SOULIER Paul</t>
  </si>
  <si>
    <t>Française</t>
  </si>
  <si>
    <t>M</t>
  </si>
  <si>
    <t>Gérant</t>
  </si>
  <si>
    <t>CDI</t>
  </si>
  <si>
    <t>RICHARD Fabienne</t>
  </si>
  <si>
    <t>F</t>
  </si>
  <si>
    <t>Responsable administratif</t>
  </si>
  <si>
    <t>DUMONT Jean</t>
  </si>
  <si>
    <t>Ouvrier</t>
  </si>
  <si>
    <t>PUECH Michel</t>
  </si>
  <si>
    <t>HARDOUIN Nicolas</t>
  </si>
  <si>
    <t>Responsable production</t>
  </si>
  <si>
    <t>CAATIAUX Mireille</t>
  </si>
  <si>
    <t>Comptable</t>
  </si>
  <si>
    <t>SANCHEZ Pierre</t>
  </si>
  <si>
    <t>Commercial</t>
  </si>
  <si>
    <t>JASPER Lucie</t>
  </si>
  <si>
    <t>Vendeuse</t>
  </si>
  <si>
    <t>MARTHE Nicole</t>
  </si>
  <si>
    <t>ouvrière</t>
  </si>
  <si>
    <t>PICHOT Jacques</t>
  </si>
  <si>
    <t>Réalisatrice</t>
  </si>
  <si>
    <t>IJSS:</t>
  </si>
  <si>
    <t>par jour</t>
  </si>
  <si>
    <t>Salaire de fevrier:</t>
  </si>
  <si>
    <t>IJSS nettes</t>
  </si>
  <si>
    <t>pour 10 jours calendaires (déduction faite des 3 jours de carence)</t>
  </si>
  <si>
    <t>224,94+664,94=</t>
  </si>
  <si>
    <t>Il n'y a pas de complément versé par l'employeur car La salariée a moins d'un an d'ancienneté.</t>
  </si>
  <si>
    <t>soit mars et avril 2016</t>
  </si>
  <si>
    <t>en mai 2016</t>
  </si>
  <si>
    <t>calcul de la réduction fillon de janvier</t>
  </si>
  <si>
    <t>Reprise en Montant de base de congés payés (cumul des salaires de juin à décembre 2015)</t>
  </si>
  <si>
    <t xml:space="preserve">Dumont </t>
  </si>
  <si>
    <t>Puech</t>
  </si>
  <si>
    <t xml:space="preserve">Marthe </t>
  </si>
  <si>
    <t>Jasper</t>
  </si>
  <si>
    <t>( pour la période précédente: 24000€)</t>
  </si>
  <si>
    <t>Cattiaux</t>
  </si>
  <si>
    <t>Sanchez</t>
  </si>
  <si>
    <t>Hardouin</t>
  </si>
  <si>
    <t>Richard</t>
  </si>
  <si>
    <t>Soulier</t>
  </si>
  <si>
    <t>Dumont</t>
  </si>
  <si>
    <t>Marthe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</si>
</sst>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8" formatCode="#,##0.00\ &quot;€&quot;;[Red]\-#,##0.00\ &quot;€&quot;"/>
    <numFmt numFmtId="43" formatCode="_-* #,##0.00\ _€_-;\-* #,##0.00\ _€_-;_-* &quot;-&quot;??\ _€_-;_-@_-"/>
    <numFmt numFmtId="164" formatCode="#,##0.00_ ;[Red]\-#,##0.00\ "/>
    <numFmt numFmtId="165" formatCode="#,##0.00\ &quot;€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sz val="12"/>
      <color rgb="FF333333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top"/>
    </xf>
    <xf numFmtId="43" fontId="4" fillId="0" borderId="1" xfId="1" applyFont="1" applyBorder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8" fontId="0" fillId="0" borderId="0" xfId="0" applyNumberFormat="1"/>
    <xf numFmtId="0" fontId="5" fillId="2" borderId="0" xfId="0" applyFont="1" applyFill="1" applyBorder="1" applyAlignment="1">
      <alignment horizontal="center" vertical="center" wrapText="1"/>
    </xf>
    <xf numFmtId="43" fontId="2" fillId="0" borderId="0" xfId="0" applyNumberFormat="1" applyFont="1"/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2" fontId="0" fillId="0" borderId="0" xfId="0" applyNumberFormat="1"/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A6" sqref="A6"/>
    </sheetView>
  </sheetViews>
  <sheetFormatPr baseColWidth="10" defaultRowHeight="15"/>
  <sheetData>
    <row r="1" spans="1:5">
      <c r="A1" t="s">
        <v>69</v>
      </c>
      <c r="B1" s="36">
        <f>0.5/91.25*9.67*151.67*3</f>
        <v>24.10929698630137</v>
      </c>
      <c r="C1" t="s">
        <v>70</v>
      </c>
    </row>
    <row r="2" spans="1:5">
      <c r="B2" s="36">
        <f>B1*10</f>
        <v>241.09296986301371</v>
      </c>
      <c r="C2" t="s">
        <v>73</v>
      </c>
    </row>
    <row r="3" spans="1:5">
      <c r="A3" t="s">
        <v>72</v>
      </c>
      <c r="B3" s="36">
        <f>B2*0.933</f>
        <v>224.93974088219181</v>
      </c>
    </row>
    <row r="5" spans="1:5">
      <c r="A5" t="s">
        <v>71</v>
      </c>
      <c r="C5" t="s">
        <v>74</v>
      </c>
      <c r="E5" s="36">
        <f>B2+664.94</f>
        <v>906.0329698630137</v>
      </c>
    </row>
    <row r="6" spans="1:5">
      <c r="A6" t="s">
        <v>75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17" sqref="B17"/>
    </sheetView>
  </sheetViews>
  <sheetFormatPr baseColWidth="10" defaultRowHeight="15"/>
  <cols>
    <col min="1" max="1" width="43.140625" customWidth="1"/>
    <col min="2" max="2" width="43.28515625" customWidth="1"/>
    <col min="3" max="3" width="16.85546875" customWidth="1"/>
    <col min="4" max="4" width="11.85546875" bestFit="1" customWidth="1"/>
  </cols>
  <sheetData>
    <row r="1" spans="1:4" ht="27" customHeight="1">
      <c r="A1" s="1" t="s">
        <v>0</v>
      </c>
      <c r="B1" s="2">
        <v>68647</v>
      </c>
      <c r="C1" s="3"/>
    </row>
    <row r="2" spans="1:4" ht="27" customHeight="1">
      <c r="A2" s="1" t="s">
        <v>1</v>
      </c>
      <c r="B2" s="2">
        <v>253</v>
      </c>
      <c r="C2" s="3"/>
    </row>
    <row r="3" spans="1:4" ht="27" customHeight="1">
      <c r="A3" s="1" t="s">
        <v>2</v>
      </c>
      <c r="B3" s="2">
        <f>SUM(B1:B2)</f>
        <v>68900</v>
      </c>
      <c r="C3" s="3"/>
    </row>
    <row r="4" spans="1:4" ht="27" customHeight="1">
      <c r="A4" s="1" t="s">
        <v>3</v>
      </c>
      <c r="B4" s="2">
        <f>B3*10/100</f>
        <v>6890</v>
      </c>
      <c r="C4" s="3"/>
    </row>
    <row r="5" spans="1:4" ht="27" customHeight="1">
      <c r="A5" s="1" t="s">
        <v>4</v>
      </c>
      <c r="B5" s="2">
        <f>B3-B4</f>
        <v>62010</v>
      </c>
      <c r="C5" s="3"/>
    </row>
    <row r="6" spans="1:4" ht="15.75">
      <c r="A6" s="3"/>
      <c r="B6" s="3"/>
      <c r="C6" s="3"/>
    </row>
    <row r="7" spans="1:4" ht="15.75">
      <c r="A7" s="3"/>
      <c r="B7" s="3"/>
      <c r="C7" s="3"/>
    </row>
    <row r="8" spans="1:4" ht="15.75">
      <c r="A8" s="3"/>
      <c r="B8" s="3"/>
      <c r="C8" s="3"/>
    </row>
    <row r="9" spans="1:4" ht="15.75">
      <c r="A9" s="4" t="s">
        <v>5</v>
      </c>
      <c r="B9" s="37" t="s">
        <v>6</v>
      </c>
      <c r="C9" s="3"/>
    </row>
    <row r="10" spans="1:4" ht="15.75">
      <c r="A10" s="4" t="s">
        <v>7</v>
      </c>
      <c r="B10" s="37"/>
      <c r="C10" s="5" t="s">
        <v>8</v>
      </c>
      <c r="D10" t="s">
        <v>35</v>
      </c>
    </row>
    <row r="11" spans="1:4" ht="15.75">
      <c r="A11" s="4" t="s">
        <v>30</v>
      </c>
      <c r="B11" s="6">
        <v>0</v>
      </c>
      <c r="C11" s="5">
        <v>0</v>
      </c>
    </row>
    <row r="12" spans="1:4" ht="15.75">
      <c r="A12" s="4" t="s">
        <v>34</v>
      </c>
      <c r="B12" s="6">
        <v>0.14000000000000001</v>
      </c>
      <c r="C12" s="5">
        <f>26791-9701</f>
        <v>17090</v>
      </c>
      <c r="D12">
        <f>C12*B12</f>
        <v>2392.6000000000004</v>
      </c>
    </row>
    <row r="13" spans="1:4" ht="15.75">
      <c r="A13" s="4" t="s">
        <v>31</v>
      </c>
      <c r="B13" s="6">
        <v>0.3</v>
      </c>
      <c r="C13" s="8">
        <f>B5-26792</f>
        <v>35218</v>
      </c>
      <c r="D13">
        <f t="shared" ref="D13:D15" si="0">C13*B13</f>
        <v>10565.4</v>
      </c>
    </row>
    <row r="14" spans="1:4" ht="15.75">
      <c r="A14" s="4" t="s">
        <v>32</v>
      </c>
      <c r="B14" s="6">
        <v>0.41</v>
      </c>
      <c r="C14" s="5"/>
      <c r="D14">
        <f t="shared" si="0"/>
        <v>0</v>
      </c>
    </row>
    <row r="15" spans="1:4" ht="15.75">
      <c r="A15" s="4" t="s">
        <v>33</v>
      </c>
      <c r="B15" s="6">
        <v>0.45</v>
      </c>
      <c r="C15" s="7"/>
      <c r="D15">
        <f t="shared" si="0"/>
        <v>0</v>
      </c>
    </row>
    <row r="16" spans="1:4" ht="15.75">
      <c r="A16" s="3"/>
      <c r="B16" s="3"/>
      <c r="C16" s="9"/>
      <c r="D16">
        <f>SUM(D12:D15)</f>
        <v>12958</v>
      </c>
    </row>
    <row r="17" spans="1:2" ht="15.75">
      <c r="A17" s="19" t="s">
        <v>36</v>
      </c>
      <c r="B17" s="20">
        <f>ROUND(B5*B13-5644.56,0)</f>
        <v>12958</v>
      </c>
    </row>
  </sheetData>
  <mergeCells count="1">
    <mergeCell ref="B9:B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0" sqref="C20"/>
    </sheetView>
  </sheetViews>
  <sheetFormatPr baseColWidth="10" defaultRowHeight="15"/>
  <cols>
    <col min="1" max="1" width="9.85546875" customWidth="1"/>
    <col min="2" max="2" width="13.7109375" customWidth="1"/>
    <col min="3" max="3" width="7.28515625" customWidth="1"/>
    <col min="6" max="6" width="17.85546875" customWidth="1"/>
  </cols>
  <sheetData>
    <row r="1" spans="1:6">
      <c r="A1" t="s">
        <v>9</v>
      </c>
      <c r="D1">
        <v>2801.1</v>
      </c>
      <c r="E1" s="10"/>
      <c r="F1" s="10"/>
    </row>
    <row r="2" spans="1:6">
      <c r="A2" t="s">
        <v>11</v>
      </c>
      <c r="D2">
        <v>0</v>
      </c>
      <c r="E2" s="10"/>
      <c r="F2" s="10"/>
    </row>
    <row r="3" spans="1:6" ht="33.75" customHeight="1">
      <c r="E3" s="11" t="s">
        <v>12</v>
      </c>
      <c r="F3" s="11" t="s">
        <v>13</v>
      </c>
    </row>
    <row r="4" spans="1:6">
      <c r="A4" s="10" t="s">
        <v>10</v>
      </c>
      <c r="B4" s="10"/>
      <c r="C4" s="10"/>
      <c r="D4" s="10">
        <f>310.83+D2*118.33</f>
        <v>310.83</v>
      </c>
      <c r="E4" s="11" t="s">
        <v>14</v>
      </c>
      <c r="F4" s="10">
        <f>ROUND(D4/20,2)</f>
        <v>15.54</v>
      </c>
    </row>
    <row r="5" spans="1:6">
      <c r="A5" s="10" t="s">
        <v>15</v>
      </c>
      <c r="B5" s="10">
        <f>D4</f>
        <v>310.83</v>
      </c>
      <c r="C5" s="10" t="s">
        <v>16</v>
      </c>
      <c r="D5" s="10">
        <f>606.67+118.33*D2</f>
        <v>606.66999999999996</v>
      </c>
      <c r="E5" s="10" t="s">
        <v>17</v>
      </c>
      <c r="F5" s="10">
        <f>ROUND((D5-B5)/10,2)</f>
        <v>29.58</v>
      </c>
    </row>
    <row r="6" spans="1:6">
      <c r="A6" s="10" t="s">
        <v>15</v>
      </c>
      <c r="B6" s="10">
        <f>D5</f>
        <v>606.66999999999996</v>
      </c>
      <c r="C6" s="10" t="s">
        <v>16</v>
      </c>
      <c r="D6" s="10">
        <f>904.17+118.33*D2</f>
        <v>904.17</v>
      </c>
      <c r="E6" s="10" t="s">
        <v>18</v>
      </c>
      <c r="F6" s="10">
        <f>ROUND((D6-B6)/5,2)</f>
        <v>59.5</v>
      </c>
    </row>
    <row r="7" spans="1:6">
      <c r="A7" s="10" t="s">
        <v>15</v>
      </c>
      <c r="B7" s="10">
        <f t="shared" ref="B7:B10" si="0">D6</f>
        <v>904.17</v>
      </c>
      <c r="C7" s="10" t="s">
        <v>16</v>
      </c>
      <c r="D7" s="10">
        <f>1200.83+118.33*D2</f>
        <v>1200.83</v>
      </c>
      <c r="E7" s="10" t="s">
        <v>19</v>
      </c>
      <c r="F7" s="10">
        <f>ROUND((D7-B7)/4,2)</f>
        <v>74.17</v>
      </c>
    </row>
    <row r="8" spans="1:6">
      <c r="A8" s="10" t="s">
        <v>15</v>
      </c>
      <c r="B8" s="10">
        <f t="shared" si="0"/>
        <v>1200.83</v>
      </c>
      <c r="C8" s="10" t="s">
        <v>16</v>
      </c>
      <c r="D8" s="10">
        <f>1497.5+118.33*D2</f>
        <v>1497.5</v>
      </c>
      <c r="E8" s="10" t="s">
        <v>20</v>
      </c>
      <c r="F8" s="10">
        <f>ROUND((D8-B8)/3,2)</f>
        <v>98.89</v>
      </c>
    </row>
    <row r="9" spans="1:6">
      <c r="A9" s="10" t="s">
        <v>15</v>
      </c>
      <c r="B9" s="10">
        <f t="shared" si="0"/>
        <v>1497.5</v>
      </c>
      <c r="C9" s="10" t="s">
        <v>16</v>
      </c>
      <c r="D9" s="10">
        <f>1799.17+118.33*D2</f>
        <v>1799.17</v>
      </c>
      <c r="E9" s="10" t="s">
        <v>21</v>
      </c>
      <c r="F9" s="10">
        <f>ROUND((D9-B9)*2/3,2)</f>
        <v>201.11</v>
      </c>
    </row>
    <row r="10" spans="1:6">
      <c r="A10" s="10" t="s">
        <v>15</v>
      </c>
      <c r="B10" s="10">
        <f t="shared" si="0"/>
        <v>1799.17</v>
      </c>
      <c r="C10" s="10" t="s">
        <v>16</v>
      </c>
      <c r="D10" s="10">
        <f>2801.1+118.33*D2</f>
        <v>2801.1</v>
      </c>
      <c r="E10" s="10" t="s">
        <v>22</v>
      </c>
      <c r="F10" s="10">
        <f>ROUND((D10-B10),2)</f>
        <v>1001.93</v>
      </c>
    </row>
    <row r="11" spans="1:6">
      <c r="F11" s="10">
        <f>SUM(F4:F10)</f>
        <v>1480.72</v>
      </c>
    </row>
    <row r="12" spans="1:6">
      <c r="A12" s="14" t="s">
        <v>23</v>
      </c>
      <c r="F12" s="12">
        <f>D1-524.16</f>
        <v>2276.94</v>
      </c>
    </row>
    <row r="13" spans="1:6">
      <c r="A13" s="13" t="s">
        <v>24</v>
      </c>
    </row>
    <row r="15" spans="1:6">
      <c r="A15" t="s">
        <v>25</v>
      </c>
      <c r="B15" s="15">
        <v>6500</v>
      </c>
    </row>
    <row r="16" spans="1:6">
      <c r="A16" t="s">
        <v>26</v>
      </c>
      <c r="B16">
        <f>F12</f>
        <v>2276.94</v>
      </c>
    </row>
    <row r="17" spans="1:3">
      <c r="A17" t="s">
        <v>27</v>
      </c>
      <c r="B17" s="16">
        <f>B15/B16</f>
        <v>2.8547085123015976</v>
      </c>
    </row>
    <row r="18" spans="1:3">
      <c r="A18" t="s">
        <v>28</v>
      </c>
      <c r="B18" s="17">
        <f>B16</f>
        <v>2276.94</v>
      </c>
      <c r="C18" t="s">
        <v>76</v>
      </c>
    </row>
    <row r="19" spans="1:3">
      <c r="A19" t="s">
        <v>29</v>
      </c>
      <c r="B19" s="18">
        <f>B15-B18*2</f>
        <v>1946.12</v>
      </c>
      <c r="C19" t="s">
        <v>77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sqref="A1:I11"/>
    </sheetView>
  </sheetViews>
  <sheetFormatPr baseColWidth="10" defaultRowHeight="15"/>
  <sheetData>
    <row r="1" spans="1:9" ht="39" thickBot="1">
      <c r="A1" s="21" t="s">
        <v>37</v>
      </c>
      <c r="B1" s="22" t="s">
        <v>38</v>
      </c>
      <c r="C1" s="22" t="s">
        <v>39</v>
      </c>
      <c r="D1" s="22" t="s">
        <v>40</v>
      </c>
      <c r="E1" s="22" t="s">
        <v>41</v>
      </c>
      <c r="F1" s="22" t="s">
        <v>42</v>
      </c>
      <c r="G1" s="22" t="s">
        <v>43</v>
      </c>
      <c r="H1" s="22" t="s">
        <v>44</v>
      </c>
      <c r="I1" s="22" t="s">
        <v>45</v>
      </c>
    </row>
    <row r="2" spans="1:9" ht="26.25" thickBot="1">
      <c r="A2" s="23" t="s">
        <v>46</v>
      </c>
      <c r="B2" s="24"/>
      <c r="C2" s="25" t="s">
        <v>47</v>
      </c>
      <c r="D2" s="26"/>
      <c r="E2" s="25" t="s">
        <v>48</v>
      </c>
      <c r="F2" s="27" t="s">
        <v>49</v>
      </c>
      <c r="G2" s="25" t="s">
        <v>50</v>
      </c>
      <c r="H2" s="28">
        <v>32782</v>
      </c>
      <c r="I2" s="29"/>
    </row>
    <row r="3" spans="1:9" ht="60.75" thickBot="1">
      <c r="A3" s="23" t="s">
        <v>51</v>
      </c>
      <c r="B3" s="30"/>
      <c r="C3" s="25" t="s">
        <v>47</v>
      </c>
      <c r="D3" s="31"/>
      <c r="E3" s="25" t="s">
        <v>52</v>
      </c>
      <c r="F3" s="32" t="s">
        <v>53</v>
      </c>
      <c r="G3" s="25" t="s">
        <v>50</v>
      </c>
      <c r="H3" s="28">
        <v>33122</v>
      </c>
      <c r="I3" s="29"/>
    </row>
    <row r="4" spans="1:9" ht="26.25" thickBot="1">
      <c r="A4" s="23" t="s">
        <v>54</v>
      </c>
      <c r="B4" s="30"/>
      <c r="C4" s="25" t="s">
        <v>47</v>
      </c>
      <c r="D4" s="31"/>
      <c r="E4" s="25" t="s">
        <v>48</v>
      </c>
      <c r="F4" s="33" t="s">
        <v>55</v>
      </c>
      <c r="G4" s="25" t="s">
        <v>50</v>
      </c>
      <c r="H4" s="28">
        <v>33731</v>
      </c>
      <c r="I4" s="29"/>
    </row>
    <row r="5" spans="1:9" ht="26.25" thickBot="1">
      <c r="A5" s="23" t="s">
        <v>56</v>
      </c>
      <c r="B5" s="30"/>
      <c r="C5" s="25" t="s">
        <v>47</v>
      </c>
      <c r="D5" s="31"/>
      <c r="E5" s="25" t="s">
        <v>48</v>
      </c>
      <c r="F5" s="33" t="s">
        <v>55</v>
      </c>
      <c r="G5" s="25" t="s">
        <v>50</v>
      </c>
      <c r="H5" s="28">
        <v>35922</v>
      </c>
      <c r="I5" s="29"/>
    </row>
    <row r="6" spans="1:9" ht="45.75" thickBot="1">
      <c r="A6" s="23" t="s">
        <v>57</v>
      </c>
      <c r="B6" s="30"/>
      <c r="C6" s="25" t="s">
        <v>47</v>
      </c>
      <c r="D6" s="31"/>
      <c r="E6" s="25" t="s">
        <v>48</v>
      </c>
      <c r="F6" s="32" t="s">
        <v>58</v>
      </c>
      <c r="G6" s="25" t="s">
        <v>50</v>
      </c>
      <c r="H6" s="28">
        <v>38231</v>
      </c>
      <c r="I6" s="29"/>
    </row>
    <row r="7" spans="1:9" ht="26.25" thickBot="1">
      <c r="A7" s="23" t="s">
        <v>59</v>
      </c>
      <c r="B7" s="30"/>
      <c r="C7" s="25" t="s">
        <v>47</v>
      </c>
      <c r="D7" s="31"/>
      <c r="E7" s="25" t="s">
        <v>52</v>
      </c>
      <c r="F7" s="33" t="s">
        <v>60</v>
      </c>
      <c r="G7" s="25" t="s">
        <v>50</v>
      </c>
      <c r="H7" s="28">
        <v>39705</v>
      </c>
      <c r="I7" s="29"/>
    </row>
    <row r="8" spans="1:9" ht="26.25" thickBot="1">
      <c r="A8" s="23" t="s">
        <v>61</v>
      </c>
      <c r="B8" s="30"/>
      <c r="C8" s="25" t="s">
        <v>47</v>
      </c>
      <c r="D8" s="31"/>
      <c r="E8" s="25" t="s">
        <v>48</v>
      </c>
      <c r="F8" s="33" t="s">
        <v>62</v>
      </c>
      <c r="G8" s="25" t="s">
        <v>50</v>
      </c>
      <c r="H8" s="28">
        <v>40103</v>
      </c>
      <c r="I8" s="29"/>
    </row>
    <row r="9" spans="1:9" ht="26.25" thickBot="1">
      <c r="A9" s="23" t="s">
        <v>63</v>
      </c>
      <c r="B9" s="30"/>
      <c r="C9" s="25" t="s">
        <v>47</v>
      </c>
      <c r="D9" s="31"/>
      <c r="E9" s="25" t="s">
        <v>52</v>
      </c>
      <c r="F9" s="33" t="s">
        <v>64</v>
      </c>
      <c r="G9" s="25" t="s">
        <v>50</v>
      </c>
      <c r="H9" s="28">
        <v>41609</v>
      </c>
      <c r="I9" s="29"/>
    </row>
    <row r="10" spans="1:9" ht="26.25" thickBot="1">
      <c r="A10" s="23" t="s">
        <v>65</v>
      </c>
      <c r="B10" s="34"/>
      <c r="C10" s="25" t="s">
        <v>47</v>
      </c>
      <c r="D10" s="35"/>
      <c r="E10" s="25" t="s">
        <v>52</v>
      </c>
      <c r="F10" s="25" t="s">
        <v>66</v>
      </c>
      <c r="G10" s="25" t="s">
        <v>50</v>
      </c>
      <c r="H10" s="28">
        <v>42186</v>
      </c>
      <c r="I10" s="28">
        <v>42460</v>
      </c>
    </row>
    <row r="11" spans="1:9" ht="26.25" thickBot="1">
      <c r="A11" s="23" t="s">
        <v>67</v>
      </c>
      <c r="B11" s="24"/>
      <c r="C11" s="25" t="s">
        <v>47</v>
      </c>
      <c r="D11" s="26"/>
      <c r="E11" s="25" t="s">
        <v>48</v>
      </c>
      <c r="F11" s="27" t="s">
        <v>68</v>
      </c>
      <c r="G11" s="25" t="s">
        <v>50</v>
      </c>
      <c r="H11" s="28">
        <v>42401</v>
      </c>
      <c r="I11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11" sqref="B11"/>
    </sheetView>
  </sheetViews>
  <sheetFormatPr baseColWidth="10" defaultRowHeight="15"/>
  <sheetData>
    <row r="1" spans="1:3">
      <c r="A1" t="s">
        <v>79</v>
      </c>
    </row>
    <row r="2" spans="1:3">
      <c r="A2" t="s">
        <v>80</v>
      </c>
      <c r="B2" s="36">
        <f>(9.61*151.67*1.12+150)*7</f>
        <v>12477.181807999999</v>
      </c>
    </row>
    <row r="3" spans="1:3">
      <c r="A3" t="s">
        <v>81</v>
      </c>
      <c r="B3" s="36">
        <f>(9.61*151.67*1.12+150)*7</f>
        <v>12477.181807999999</v>
      </c>
    </row>
    <row r="4" spans="1:3">
      <c r="A4" t="s">
        <v>82</v>
      </c>
      <c r="B4">
        <f>151.67*9.61*6</f>
        <v>8745.2921999999999</v>
      </c>
    </row>
    <row r="5" spans="1:3">
      <c r="A5" t="s">
        <v>83</v>
      </c>
      <c r="B5">
        <f>2000*7</f>
        <v>14000</v>
      </c>
      <c r="C5" t="s">
        <v>84</v>
      </c>
    </row>
    <row r="6" spans="1:3">
      <c r="A6" t="s">
        <v>85</v>
      </c>
      <c r="B6">
        <f>3000*1.03*4+3000*1.05*3</f>
        <v>21810</v>
      </c>
    </row>
    <row r="7" spans="1:3">
      <c r="A7" t="s">
        <v>86</v>
      </c>
      <c r="B7">
        <f>3605*7</f>
        <v>25235</v>
      </c>
    </row>
    <row r="8" spans="1:3">
      <c r="A8" t="s">
        <v>87</v>
      </c>
      <c r="B8">
        <f>4400*7</f>
        <v>30800</v>
      </c>
    </row>
    <row r="9" spans="1:3">
      <c r="A9" t="s">
        <v>88</v>
      </c>
      <c r="B9">
        <f>5000*1.12*7</f>
        <v>39200.000000000007</v>
      </c>
    </row>
    <row r="10" spans="1:3">
      <c r="A10" t="s">
        <v>89</v>
      </c>
      <c r="B10">
        <f>6000*1.12*7</f>
        <v>47040.000000000007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A6" sqref="A6"/>
    </sheetView>
  </sheetViews>
  <sheetFormatPr baseColWidth="10" defaultRowHeight="15"/>
  <sheetData>
    <row r="1" spans="1:2">
      <c r="A1" s="38" t="s">
        <v>78</v>
      </c>
    </row>
    <row r="2" spans="1:2">
      <c r="A2" t="s">
        <v>90</v>
      </c>
      <c r="B2" s="36">
        <f>0.2795/0.6*(9.67*166.67*1.6/1992.51-1)*1992.51</f>
        <v>273.07533846666666</v>
      </c>
    </row>
    <row r="3" spans="1:2">
      <c r="A3" t="s">
        <v>81</v>
      </c>
      <c r="B3" s="36">
        <f>0.2795/0.6*(9.67*160.67*1.6/1912.56-1)*1912.56</f>
        <v>267.07447346666669</v>
      </c>
    </row>
    <row r="4" spans="1:2">
      <c r="A4" t="s">
        <v>91</v>
      </c>
      <c r="B4" s="36">
        <f>0.2795/0.6*(9.67*151.67*1.6/1466.65-1)*1466.65</f>
        <v>409.9278551333332</v>
      </c>
    </row>
    <row r="5" spans="1:2">
      <c r="A5" t="s">
        <v>83</v>
      </c>
      <c r="B5" s="36">
        <f>0.2795/0.6*(9.67*151.67*1.6/2000-1)*2000</f>
        <v>161.47564679999996</v>
      </c>
    </row>
    <row r="6" spans="1:2">
      <c r="B6" s="36"/>
    </row>
    <row r="7" spans="1:2">
      <c r="B7" s="36"/>
    </row>
    <row r="8" spans="1:2">
      <c r="B8" s="36"/>
    </row>
    <row r="9" spans="1:2">
      <c r="B9" s="36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IJSS
</vt:lpstr>
      <vt:lpstr>IRPP Soulier</vt:lpstr>
      <vt:lpstr>Saisie arrêt</vt:lpstr>
      <vt:lpstr>registre du personnel</vt:lpstr>
      <vt:lpstr>reprise des congés payés</vt:lpstr>
      <vt:lpstr>réduction fillon de janvier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Marie Albassier</dc:creator>
  <cp:lastModifiedBy> </cp:lastModifiedBy>
  <dcterms:created xsi:type="dcterms:W3CDTF">2016-01-22T17:27:10Z</dcterms:created>
  <dcterms:modified xsi:type="dcterms:W3CDTF">2016-01-23T17:28:27Z</dcterms:modified>
</cp:coreProperties>
</file>